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trlProps/ctrlProp1.xml" ContentType="application/vnd.ms-excel.control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IN\PAYROLL\Matt\Calculators\"/>
    </mc:Choice>
  </mc:AlternateContent>
  <bookViews>
    <workbookView xWindow="360" yWindow="120" windowWidth="11340" windowHeight="2295"/>
  </bookViews>
  <sheets>
    <sheet name="Net pay calculator" sheetId="1" r:id="rId1"/>
    <sheet name="WRS EE share rates" sheetId="4" r:id="rId2"/>
    <sheet name="Fed tax calculations" sheetId="2" r:id="rId3"/>
    <sheet name="State tax calculations" sheetId="3" r:id="rId4"/>
  </sheets>
  <definedNames>
    <definedName name="DOT_Prot_before_July_1_2011">'Net pay calculator'!$C$27</definedName>
    <definedName name="Type">'WRS EE share rates'!$A$4:$A$13</definedName>
  </definedNames>
  <calcPr calcId="171027"/>
</workbook>
</file>

<file path=xl/calcChain.xml><?xml version="1.0" encoding="utf-8"?>
<calcChain xmlns="http://schemas.openxmlformats.org/spreadsheetml/2006/main">
  <c r="B48" i="1" l="1"/>
  <c r="B27" i="1"/>
  <c r="B3" i="3"/>
  <c r="B19" i="3"/>
  <c r="F19" i="3"/>
  <c r="B18" i="3"/>
  <c r="F18" i="3"/>
  <c r="F17" i="3"/>
  <c r="B17" i="3"/>
  <c r="B16" i="3"/>
  <c r="F16" i="3"/>
  <c r="F15" i="3"/>
  <c r="B15" i="3"/>
  <c r="F14" i="3"/>
  <c r="B9" i="3"/>
  <c r="F9" i="3"/>
  <c r="B8" i="3"/>
  <c r="F8" i="3"/>
  <c r="B7" i="3"/>
  <c r="F7" i="3"/>
  <c r="B6" i="3"/>
  <c r="F6" i="3"/>
  <c r="B5" i="3"/>
  <c r="F5" i="3"/>
  <c r="F4" i="3"/>
  <c r="B6" i="2"/>
  <c r="F6" i="2"/>
  <c r="B5" i="2"/>
  <c r="F5" i="2"/>
  <c r="B7" i="2"/>
  <c r="F7" i="2"/>
  <c r="B8" i="2"/>
  <c r="F8" i="2"/>
  <c r="B9" i="2"/>
  <c r="F9" i="2"/>
  <c r="B3" i="2"/>
  <c r="B10" i="2"/>
  <c r="C4" i="4"/>
  <c r="A27" i="1"/>
  <c r="B20" i="2"/>
  <c r="F20" i="2"/>
  <c r="F10" i="2"/>
  <c r="B15" i="2"/>
  <c r="F15" i="2"/>
  <c r="B16" i="2"/>
  <c r="F16" i="2"/>
  <c r="B17" i="2"/>
  <c r="F17" i="2"/>
  <c r="B18" i="2"/>
  <c r="B19" i="2"/>
  <c r="C6" i="4"/>
  <c r="C5" i="4"/>
  <c r="C10" i="4"/>
  <c r="C7" i="4"/>
  <c r="C8" i="4"/>
  <c r="C9" i="4"/>
  <c r="C11" i="4"/>
  <c r="C12" i="4"/>
  <c r="B45" i="1"/>
  <c r="B47" i="1"/>
  <c r="F18" i="2"/>
  <c r="F19" i="2"/>
  <c r="F14" i="2"/>
  <c r="F4" i="2"/>
  <c r="B14" i="1"/>
  <c r="B26" i="1"/>
  <c r="B41" i="1"/>
  <c r="B44" i="1"/>
  <c r="B43" i="1"/>
  <c r="B39" i="1"/>
  <c r="B49" i="1"/>
  <c r="B50" i="1"/>
  <c r="B42" i="1"/>
  <c r="B2" i="2"/>
  <c r="G1" i="2"/>
  <c r="B40" i="1"/>
  <c r="E29" i="1"/>
  <c r="B2" i="3"/>
  <c r="G1" i="3"/>
  <c r="H4" i="2"/>
  <c r="I4" i="2"/>
  <c r="H9" i="2"/>
  <c r="I9" i="2"/>
  <c r="H17" i="2"/>
  <c r="I17" i="2"/>
  <c r="H15" i="2"/>
  <c r="I15" i="2"/>
  <c r="H20" i="2"/>
  <c r="I20" i="2"/>
  <c r="H8" i="2"/>
  <c r="I8" i="2"/>
  <c r="H6" i="2"/>
  <c r="I6" i="2"/>
  <c r="H10" i="2"/>
  <c r="I10" i="2"/>
  <c r="H14" i="2"/>
  <c r="I14" i="2"/>
  <c r="H18" i="2"/>
  <c r="I18" i="2"/>
  <c r="H16" i="2"/>
  <c r="I16" i="2"/>
  <c r="H5" i="2"/>
  <c r="I5" i="2"/>
  <c r="H19" i="2"/>
  <c r="I19" i="2"/>
  <c r="H7" i="2"/>
  <c r="I7" i="2"/>
  <c r="I21" i="2"/>
  <c r="I11" i="2"/>
  <c r="H15" i="3"/>
  <c r="I15" i="3"/>
  <c r="H18" i="3"/>
  <c r="I18" i="3"/>
  <c r="H19" i="3"/>
  <c r="I19" i="3"/>
  <c r="H5" i="3"/>
  <c r="I5" i="3"/>
  <c r="H9" i="3"/>
  <c r="I9" i="3"/>
  <c r="H4" i="3"/>
  <c r="I4" i="3"/>
  <c r="H16" i="3"/>
  <c r="I16" i="3"/>
  <c r="H6" i="3"/>
  <c r="I6" i="3"/>
  <c r="H8" i="3"/>
  <c r="I8" i="3"/>
  <c r="H14" i="3"/>
  <c r="I14" i="3"/>
  <c r="I21" i="3"/>
  <c r="H7" i="3"/>
  <c r="I7" i="3"/>
  <c r="H17" i="3"/>
  <c r="I17" i="3"/>
  <c r="I11" i="3"/>
  <c r="B46" i="1"/>
</calcChain>
</file>

<file path=xl/comments1.xml><?xml version="1.0" encoding="utf-8"?>
<comments xmlns="http://schemas.openxmlformats.org/spreadsheetml/2006/main">
  <authors>
    <author>dennis.dissmore</author>
    <author>Dissmore, Dennis J - DOA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Use this field to reverse a lump sum from the retirement calculation, if necessary.
For example:  LAN's are not WRS earnings so you would subtract that amount here.  For an MPR, you would add the amount here. </t>
        </r>
      </text>
    </comment>
    <comment ref="A49" authorId="1" shapeId="0">
      <text>
        <r>
          <rPr>
            <b/>
            <sz val="9"/>
            <color indexed="81"/>
            <rFont val="Tahoma"/>
            <charset val="1"/>
          </rPr>
          <t>SS Max for 2017 is $127,200.  You will need to offset for this deducton in the post tax section if the employee has reached the above limit earlier in the year.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0" authorId="1" shapeId="0">
      <text>
        <r>
          <rPr>
            <b/>
            <sz val="9"/>
            <color indexed="81"/>
            <rFont val="Tahoma"/>
            <charset val="1"/>
          </rPr>
          <t>For Medicare earnings over $200,000, an additional .9% employee share needs to be collected.  Multiply .009 by the amount in B26 that is over the $200,000 limit.</t>
        </r>
      </text>
    </comment>
  </commentList>
</comments>
</file>

<file path=xl/sharedStrings.xml><?xml version="1.0" encoding="utf-8"?>
<sst xmlns="http://schemas.openxmlformats.org/spreadsheetml/2006/main" count="71" uniqueCount="67">
  <si>
    <t xml:space="preserve">Health </t>
  </si>
  <si>
    <t>Life</t>
  </si>
  <si>
    <t>Epic</t>
  </si>
  <si>
    <t>Taxable Travel</t>
  </si>
  <si>
    <t>SS/MC Gross</t>
  </si>
  <si>
    <t>Deferred Comp</t>
  </si>
  <si>
    <t xml:space="preserve">Add'l Fed tax </t>
  </si>
  <si>
    <t>Add'l State tax</t>
  </si>
  <si>
    <t>Non-taxable Travel</t>
  </si>
  <si>
    <t>Reg Pay Gross</t>
  </si>
  <si>
    <t>Withholding Allowance:</t>
  </si>
  <si>
    <t>Single</t>
  </si>
  <si>
    <t>Married</t>
  </si>
  <si>
    <t>Amount of Fed taxable:</t>
  </si>
  <si>
    <t># of dependents claimed</t>
  </si>
  <si>
    <t># of Allowances</t>
  </si>
  <si>
    <t>Taxable - allowances</t>
  </si>
  <si>
    <t>Parking/Vanpool</t>
  </si>
  <si>
    <t>State tax</t>
  </si>
  <si>
    <t>Additional withheld</t>
  </si>
  <si>
    <t>Married or Single (M or S)</t>
  </si>
  <si>
    <t>Vision</t>
  </si>
  <si>
    <t>Dental (if pretax state plan)</t>
  </si>
  <si>
    <t>Social Security</t>
  </si>
  <si>
    <t>Medicare</t>
  </si>
  <si>
    <t>Net Check:</t>
  </si>
  <si>
    <t xml:space="preserve">Fed tax </t>
  </si>
  <si>
    <t>Post tax deductions</t>
  </si>
  <si>
    <t>Taxable Subtotal</t>
  </si>
  <si>
    <t>*Lump Sum Gross</t>
  </si>
  <si>
    <t>offsetting any positive lump sum.</t>
  </si>
  <si>
    <t>*A negative lump sum must be taken from the regular gross pay before</t>
  </si>
  <si>
    <t>Reversing the THI/TLI</t>
  </si>
  <si>
    <t>Pre-tax deductions</t>
  </si>
  <si>
    <t>Federal Taxable Gross</t>
  </si>
  <si>
    <t>State Taxable Gross</t>
  </si>
  <si>
    <t>Amt Fed taxable at reg rate</t>
  </si>
  <si>
    <t>Not on WRS</t>
  </si>
  <si>
    <t>LTE General</t>
  </si>
  <si>
    <t>LTE Protective</t>
  </si>
  <si>
    <t>LTE Executive</t>
  </si>
  <si>
    <t>LTE Craft</t>
  </si>
  <si>
    <t>Type</t>
  </si>
  <si>
    <t>Rate</t>
  </si>
  <si>
    <t>Perm General</t>
  </si>
  <si>
    <t>Perm Protective</t>
  </si>
  <si>
    <t>Perm Craft</t>
  </si>
  <si>
    <t>Perm Executive</t>
  </si>
  <si>
    <t>WRS Earnings adjustment</t>
  </si>
  <si>
    <t>Enter your Retirement rates for employee share in decimal format ie .2% = .002</t>
  </si>
  <si>
    <t>25% Fed tax</t>
  </si>
  <si>
    <t>Amt Fed taxable at 25%</t>
  </si>
  <si>
    <t>for payroll use only</t>
  </si>
  <si>
    <t xml:space="preserve"> State</t>
  </si>
  <si>
    <t xml:space="preserve"> Fed</t>
  </si>
  <si>
    <t>FSA medical</t>
  </si>
  <si>
    <t>FSA dependent</t>
  </si>
  <si>
    <t>Health Savings Account (HSA)</t>
  </si>
  <si>
    <t>FSA Parking and Transit</t>
  </si>
  <si>
    <t>DOT Prot before July 1 2011</t>
  </si>
  <si>
    <t>Taxable Health (THI)</t>
  </si>
  <si>
    <t>Taxable Health (TLI)</t>
  </si>
  <si>
    <t>Amount of State taxable:</t>
  </si>
  <si>
    <t>Withholding Credit:</t>
  </si>
  <si>
    <t xml:space="preserve">Taxable: </t>
  </si>
  <si>
    <t>Paycheck Calculator (2017 tables implemented PP 1)</t>
  </si>
  <si>
    <t>rev: 12-22-16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</si>
</sst>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8" formatCode="0.0%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2" borderId="1" xfId="0" applyFill="1" applyBorder="1" applyProtection="1">
      <protection locked="0"/>
    </xf>
    <xf numFmtId="0" fontId="0" fillId="0" borderId="0" xfId="0" applyFill="1" applyProtection="1"/>
    <xf numFmtId="0" fontId="0" fillId="0" borderId="0" xfId="0" quotePrefix="1"/>
    <xf numFmtId="168" fontId="0" fillId="0" borderId="0" xfId="0" applyNumberFormat="1"/>
    <xf numFmtId="0" fontId="2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164" fontId="10" fillId="0" borderId="0" xfId="0" applyNumberFormat="1" applyFont="1" applyProtection="1"/>
    <xf numFmtId="0" fontId="10" fillId="0" borderId="0" xfId="0" quotePrefix="1" applyFont="1" applyProtection="1"/>
    <xf numFmtId="164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horizontal="center"/>
    </xf>
    <xf numFmtId="164" fontId="9" fillId="2" borderId="1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center"/>
    </xf>
    <xf numFmtId="164" fontId="10" fillId="2" borderId="1" xfId="0" applyNumberFormat="1" applyFont="1" applyFill="1" applyBorder="1" applyProtection="1">
      <protection locked="0"/>
    </xf>
    <xf numFmtId="0" fontId="9" fillId="0" borderId="0" xfId="0" applyFont="1" applyFill="1" applyBorder="1" applyProtection="1"/>
    <xf numFmtId="0" fontId="9" fillId="0" borderId="0" xfId="0" applyFont="1" applyAlignment="1" applyProtection="1">
      <alignment horizontal="left"/>
    </xf>
    <xf numFmtId="164" fontId="9" fillId="0" borderId="0" xfId="0" applyNumberFormat="1" applyFont="1" applyBorder="1" applyProtection="1"/>
    <xf numFmtId="0" fontId="12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Protection="1"/>
    <xf numFmtId="0" fontId="10" fillId="3" borderId="1" xfId="0" applyFont="1" applyFill="1" applyBorder="1" applyAlignment="1" applyProtection="1">
      <alignment horizontal="left"/>
    </xf>
    <xf numFmtId="164" fontId="10" fillId="3" borderId="1" xfId="0" applyNumberFormat="1" applyFont="1" applyFill="1" applyBorder="1" applyProtection="1"/>
    <xf numFmtId="0" fontId="9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Border="1" applyProtection="1"/>
    <xf numFmtId="0" fontId="12" fillId="0" borderId="0" xfId="0" applyFont="1" applyBorder="1" applyProtection="1"/>
    <xf numFmtId="164" fontId="12" fillId="0" borderId="0" xfId="0" applyNumberFormat="1" applyFont="1" applyBorder="1" applyProtection="1"/>
    <xf numFmtId="0" fontId="9" fillId="0" borderId="0" xfId="0" applyFont="1" applyFill="1" applyBorder="1" applyAlignment="1" applyProtection="1">
      <alignment horizontal="center"/>
    </xf>
    <xf numFmtId="164" fontId="10" fillId="2" borderId="2" xfId="0" applyNumberFormat="1" applyFont="1" applyFill="1" applyBorder="1" applyProtection="1">
      <protection locked="0"/>
    </xf>
    <xf numFmtId="0" fontId="10" fillId="0" borderId="0" xfId="0" applyFont="1" applyFill="1" applyBorder="1" applyProtection="1"/>
    <xf numFmtId="164" fontId="9" fillId="0" borderId="0" xfId="0" applyNumberFormat="1" applyFont="1" applyProtection="1"/>
    <xf numFmtId="164" fontId="10" fillId="0" borderId="0" xfId="0" applyNumberFormat="1" applyFont="1" applyBorder="1" applyAlignment="1" applyProtection="1">
      <alignment horizontal="right"/>
    </xf>
    <xf numFmtId="0" fontId="14" fillId="0" borderId="0" xfId="1" applyFont="1" applyAlignment="1" applyProtection="1"/>
    <xf numFmtId="164" fontId="10" fillId="0" borderId="0" xfId="0" applyNumberFormat="1" applyFont="1" applyBorder="1" applyProtection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2</xdr:row>
          <xdr:rowOff>133350</xdr:rowOff>
        </xdr:from>
        <xdr:to>
          <xdr:col>4</xdr:col>
          <xdr:colOff>180975</xdr:colOff>
          <xdr:row>4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55A1E13-33E5-4EA4-9F8D-138C64D54D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53"/>
  <sheetViews>
    <sheetView tabSelected="1" workbookViewId="0">
      <selection activeCell="B18" sqref="B18"/>
    </sheetView>
  </sheetViews>
  <sheetFormatPr defaultRowHeight="12.75" x14ac:dyDescent="0.2"/>
  <cols>
    <col min="1" max="1" width="25.85546875" style="13" customWidth="1"/>
    <col min="2" max="2" width="12.140625" style="15" customWidth="1"/>
    <col min="3" max="3" width="14.42578125" style="13" bestFit="1" customWidth="1"/>
    <col min="4" max="4" width="10.42578125" style="13" customWidth="1"/>
    <col min="5" max="5" width="10.7109375" style="13" customWidth="1"/>
    <col min="6" max="6" width="10.5703125" style="13" bestFit="1" customWidth="1"/>
    <col min="7" max="16384" width="9.140625" style="13"/>
  </cols>
  <sheetData>
    <row r="1" spans="1:6" ht="15" x14ac:dyDescent="0.25">
      <c r="A1" s="11" t="s">
        <v>65</v>
      </c>
      <c r="B1" s="11"/>
      <c r="C1" s="11"/>
      <c r="D1" s="11"/>
      <c r="E1" s="11"/>
      <c r="F1" s="12" t="s">
        <v>66</v>
      </c>
    </row>
    <row r="2" spans="1:6" ht="15" customHeight="1" x14ac:dyDescent="0.2">
      <c r="A2" s="14" t="s">
        <v>52</v>
      </c>
      <c r="B2" s="14"/>
      <c r="C2" s="14"/>
      <c r="D2" s="14"/>
      <c r="E2" s="14"/>
    </row>
    <row r="3" spans="1:6" x14ac:dyDescent="0.2">
      <c r="B3" s="15" t="s">
        <v>54</v>
      </c>
      <c r="C3" s="16" t="s">
        <v>53</v>
      </c>
    </row>
    <row r="4" spans="1:6" x14ac:dyDescent="0.2">
      <c r="A4" s="13" t="s">
        <v>20</v>
      </c>
      <c r="B4" s="17"/>
      <c r="C4" s="18"/>
    </row>
    <row r="5" spans="1:6" x14ac:dyDescent="0.2">
      <c r="A5" s="13" t="s">
        <v>14</v>
      </c>
      <c r="B5" s="19"/>
      <c r="C5" s="20"/>
    </row>
    <row r="6" spans="1:6" x14ac:dyDescent="0.2">
      <c r="A6" s="13" t="s">
        <v>19</v>
      </c>
      <c r="B6" s="21"/>
      <c r="C6" s="21"/>
    </row>
    <row r="7" spans="1:6" x14ac:dyDescent="0.2">
      <c r="B7" s="22"/>
    </row>
    <row r="8" spans="1:6" x14ac:dyDescent="0.2">
      <c r="A8" s="13" t="s">
        <v>9</v>
      </c>
      <c r="B8" s="23"/>
      <c r="C8" s="12"/>
      <c r="E8" s="24" t="s">
        <v>48</v>
      </c>
    </row>
    <row r="9" spans="1:6" x14ac:dyDescent="0.2">
      <c r="A9" s="13" t="s">
        <v>29</v>
      </c>
      <c r="B9" s="23"/>
      <c r="C9" s="12"/>
      <c r="E9" s="25"/>
    </row>
    <row r="10" spans="1:6" x14ac:dyDescent="0.2">
      <c r="A10" s="13" t="s">
        <v>60</v>
      </c>
      <c r="B10" s="23"/>
      <c r="C10" s="26"/>
    </row>
    <row r="11" spans="1:6" x14ac:dyDescent="0.2">
      <c r="A11" s="13" t="s">
        <v>61</v>
      </c>
      <c r="B11" s="23"/>
      <c r="C11" s="12"/>
    </row>
    <row r="12" spans="1:6" x14ac:dyDescent="0.2">
      <c r="A12" s="13" t="s">
        <v>3</v>
      </c>
      <c r="B12" s="23"/>
      <c r="C12" s="12"/>
    </row>
    <row r="13" spans="1:6" x14ac:dyDescent="0.2">
      <c r="A13" s="13" t="s">
        <v>8</v>
      </c>
      <c r="B13" s="23"/>
      <c r="C13" s="12"/>
    </row>
    <row r="14" spans="1:6" x14ac:dyDescent="0.2">
      <c r="A14" s="27" t="s">
        <v>28</v>
      </c>
      <c r="B14" s="28">
        <f>SUM(B8:B12)</f>
        <v>0</v>
      </c>
      <c r="C14" s="12"/>
    </row>
    <row r="15" spans="1:6" x14ac:dyDescent="0.2">
      <c r="A15" s="29" t="s">
        <v>33</v>
      </c>
      <c r="B15" s="28"/>
      <c r="C15" s="12"/>
    </row>
    <row r="16" spans="1:6" x14ac:dyDescent="0.2">
      <c r="A16" s="30" t="s">
        <v>0</v>
      </c>
      <c r="B16" s="23"/>
      <c r="C16" s="12"/>
    </row>
    <row r="17" spans="1:5" x14ac:dyDescent="0.2">
      <c r="A17" s="30" t="s">
        <v>1</v>
      </c>
      <c r="B17" s="23"/>
      <c r="C17" s="12"/>
    </row>
    <row r="18" spans="1:5" x14ac:dyDescent="0.2">
      <c r="A18" s="30" t="s">
        <v>2</v>
      </c>
      <c r="B18" s="23"/>
      <c r="C18" s="12"/>
    </row>
    <row r="19" spans="1:5" x14ac:dyDescent="0.2">
      <c r="A19" s="30" t="s">
        <v>21</v>
      </c>
      <c r="B19" s="23"/>
      <c r="C19" s="12"/>
    </row>
    <row r="20" spans="1:5" x14ac:dyDescent="0.2">
      <c r="A20" s="30" t="s">
        <v>22</v>
      </c>
      <c r="B20" s="23"/>
      <c r="C20" s="12"/>
    </row>
    <row r="21" spans="1:5" x14ac:dyDescent="0.2">
      <c r="A21" s="30" t="s">
        <v>17</v>
      </c>
      <c r="B21" s="23"/>
      <c r="C21" s="12"/>
    </row>
    <row r="22" spans="1:5" x14ac:dyDescent="0.2">
      <c r="A22" s="31" t="s">
        <v>58</v>
      </c>
      <c r="B22" s="23"/>
      <c r="C22" s="32"/>
    </row>
    <row r="23" spans="1:5" x14ac:dyDescent="0.2">
      <c r="A23" s="31" t="s">
        <v>57</v>
      </c>
      <c r="B23" s="23"/>
      <c r="C23" s="32"/>
    </row>
    <row r="24" spans="1:5" x14ac:dyDescent="0.2">
      <c r="A24" s="31" t="s">
        <v>55</v>
      </c>
      <c r="B24" s="23"/>
      <c r="C24" s="12"/>
    </row>
    <row r="25" spans="1:5" x14ac:dyDescent="0.2">
      <c r="A25" s="31" t="s">
        <v>56</v>
      </c>
      <c r="B25" s="23"/>
      <c r="C25" s="12"/>
    </row>
    <row r="26" spans="1:5" x14ac:dyDescent="0.2">
      <c r="A26" s="30" t="s">
        <v>4</v>
      </c>
      <c r="B26" s="28">
        <f>B14-SUM(B16:B25)</f>
        <v>0</v>
      </c>
      <c r="C26" s="12"/>
    </row>
    <row r="27" spans="1:5" x14ac:dyDescent="0.2">
      <c r="A27" s="33" t="str">
        <f>CONCATENATE(VLOOKUP(C27,'WRS EE share rates'!$A$4:$C$12,3,FALSE)," of $",$B$8+$B$9+$E$9)</f>
        <v>Retirement 6.8% of $0</v>
      </c>
      <c r="B27" s="34">
        <f>($B$8+$B$9+$E$9)*VLOOKUP(C27,'WRS EE share rates'!$A$4:$B$13,2,FALSE)</f>
        <v>0</v>
      </c>
      <c r="C27" s="35" t="s">
        <v>44</v>
      </c>
    </row>
    <row r="28" spans="1:5" x14ac:dyDescent="0.2">
      <c r="A28" s="36" t="s">
        <v>5</v>
      </c>
      <c r="B28" s="23"/>
      <c r="C28" s="12"/>
    </row>
    <row r="29" spans="1:5" x14ac:dyDescent="0.2">
      <c r="A29" s="29" t="s">
        <v>27</v>
      </c>
      <c r="C29" s="12"/>
      <c r="D29" s="37" t="s">
        <v>25</v>
      </c>
      <c r="E29" s="38" t="e">
        <f>B40-SUM(B43:B50)-SUM(B30:B38)+B13</f>
        <v>#VALUE!</v>
      </c>
    </row>
    <row r="30" spans="1:5" x14ac:dyDescent="0.2">
      <c r="A30" s="20"/>
      <c r="B30" s="25"/>
      <c r="C30" s="39"/>
    </row>
    <row r="31" spans="1:5" x14ac:dyDescent="0.2">
      <c r="A31" s="20"/>
      <c r="B31" s="25"/>
      <c r="C31" s="12"/>
    </row>
    <row r="32" spans="1:5" x14ac:dyDescent="0.2">
      <c r="A32" s="20"/>
      <c r="B32" s="40"/>
      <c r="C32" s="12"/>
    </row>
    <row r="33" spans="1:7" x14ac:dyDescent="0.2">
      <c r="A33" s="20"/>
      <c r="B33" s="40"/>
      <c r="C33" s="12"/>
    </row>
    <row r="34" spans="1:7" x14ac:dyDescent="0.2">
      <c r="A34" s="20"/>
      <c r="B34" s="40"/>
      <c r="C34" s="12"/>
      <c r="G34" s="41"/>
    </row>
    <row r="35" spans="1:7" x14ac:dyDescent="0.2">
      <c r="A35" s="20"/>
      <c r="B35" s="40"/>
      <c r="C35" s="12"/>
    </row>
    <row r="36" spans="1:7" x14ac:dyDescent="0.2">
      <c r="A36" s="20"/>
      <c r="B36" s="40"/>
      <c r="C36" s="12"/>
    </row>
    <row r="37" spans="1:7" x14ac:dyDescent="0.2">
      <c r="A37" s="20"/>
      <c r="B37" s="40"/>
      <c r="C37" s="12"/>
    </row>
    <row r="38" spans="1:7" x14ac:dyDescent="0.2">
      <c r="A38" s="20"/>
      <c r="B38" s="40"/>
      <c r="C38" s="12"/>
    </row>
    <row r="39" spans="1:7" x14ac:dyDescent="0.2">
      <c r="A39" s="13" t="s">
        <v>34</v>
      </c>
      <c r="B39" s="42">
        <f>B26-B27-B28</f>
        <v>0</v>
      </c>
      <c r="C39" s="12"/>
    </row>
    <row r="40" spans="1:7" x14ac:dyDescent="0.2">
      <c r="A40" s="13" t="s">
        <v>35</v>
      </c>
      <c r="B40" s="42">
        <f>B39</f>
        <v>0</v>
      </c>
      <c r="C40" s="12"/>
    </row>
    <row r="41" spans="1:7" x14ac:dyDescent="0.2">
      <c r="A41" s="13" t="s">
        <v>51</v>
      </c>
      <c r="B41" s="42">
        <f>IF(B8+B9+B12&gt;0,B39*(B9+B12)/(B8+B9+B12),0)</f>
        <v>0</v>
      </c>
      <c r="C41" s="12"/>
    </row>
    <row r="42" spans="1:7" x14ac:dyDescent="0.2">
      <c r="A42" s="13" t="s">
        <v>36</v>
      </c>
      <c r="B42" s="42">
        <f>B39-B41</f>
        <v>0</v>
      </c>
      <c r="C42" s="12"/>
    </row>
    <row r="43" spans="1:7" x14ac:dyDescent="0.2">
      <c r="A43" s="13" t="s">
        <v>26</v>
      </c>
      <c r="B43" s="43" t="e">
        <f>IF(B8&gt;=0,ROUND(IF(B5&lt;98,IF(B4="S",'Fed tax calculations'!I11/26,IF(B4="M",'Fed tax calculations'!I21/26,"Error in B4")),0),2),0)</f>
        <v>#VALUE!</v>
      </c>
      <c r="F43" s="44"/>
    </row>
    <row r="44" spans="1:7" x14ac:dyDescent="0.2">
      <c r="A44" s="13" t="s">
        <v>50</v>
      </c>
      <c r="B44" s="15">
        <f>ROUND(IF(B5&lt;98,0.25*B41,0),2)</f>
        <v>0</v>
      </c>
    </row>
    <row r="45" spans="1:7" x14ac:dyDescent="0.2">
      <c r="A45" s="13" t="s">
        <v>6</v>
      </c>
      <c r="B45" s="45">
        <f>B6</f>
        <v>0</v>
      </c>
    </row>
    <row r="46" spans="1:7" ht="12" customHeight="1" x14ac:dyDescent="0.2">
      <c r="A46" s="13" t="s">
        <v>18</v>
      </c>
      <c r="B46" s="43" t="e">
        <f>IF(B8&gt;=0,ROUND(IF(C5&lt;98,IF(C4="S",'State tax calculations'!I11/26,IF(C4="M",'State tax calculations'!I21/26,"Error in C4")),0),2),0)</f>
        <v>#VALUE!</v>
      </c>
      <c r="F46" s="44"/>
    </row>
    <row r="47" spans="1:7" x14ac:dyDescent="0.2">
      <c r="A47" s="13" t="s">
        <v>7</v>
      </c>
      <c r="B47" s="45">
        <f>C6</f>
        <v>0</v>
      </c>
    </row>
    <row r="48" spans="1:7" x14ac:dyDescent="0.2">
      <c r="A48" s="13" t="s">
        <v>32</v>
      </c>
      <c r="B48" s="15">
        <f>B10+B11</f>
        <v>0</v>
      </c>
    </row>
    <row r="49" spans="1:2" x14ac:dyDescent="0.2">
      <c r="A49" s="13" t="s">
        <v>23</v>
      </c>
      <c r="B49" s="15">
        <f>ROUND(0.062*B26,2)</f>
        <v>0</v>
      </c>
    </row>
    <row r="50" spans="1:2" x14ac:dyDescent="0.2">
      <c r="A50" s="13" t="s">
        <v>24</v>
      </c>
      <c r="B50" s="15">
        <f>ROUND(0.0145*B26,2)</f>
        <v>0</v>
      </c>
    </row>
    <row r="52" spans="1:2" x14ac:dyDescent="0.2">
      <c r="A52" s="13" t="s">
        <v>31</v>
      </c>
    </row>
    <row r="53" spans="1:2" x14ac:dyDescent="0.2">
      <c r="A53" s="13" t="s">
        <v>30</v>
      </c>
    </row>
  </sheetData>
  <sheetProtection sheet="1"/>
  <mergeCells count="2">
    <mergeCell ref="A1:E1"/>
    <mergeCell ref="A2:E2"/>
  </mergeCells>
  <phoneticPr fontId="1" type="noConversion"/>
  <dataValidations count="3">
    <dataValidation type="list" allowBlank="1" showInputMessage="1" showErrorMessage="1" sqref="C27">
      <formula1>"Perm General, Perm Protective, DOT Prot before July 1 2011, Perm Executive, Perm Craft, LTE General, LTE Protective, LTE Executive, LTE Craft, Not on WRS"</formula1>
    </dataValidation>
    <dataValidation type="whole" allowBlank="1" showInputMessage="1" showErrorMessage="1" error="Only positive whole numbers between 0 and 99 allowed in this field." sqref="B5:C5">
      <formula1>0</formula1>
      <formula2>99</formula2>
    </dataValidation>
    <dataValidation type="decimal" allowBlank="1" showInputMessage="1" showErrorMessage="1" error="Only positive dollar amounts allowed in this field." sqref="B6:C6">
      <formula1>0</formula1>
      <formula2>5000</formula2>
    </dataValidation>
  </dataValidations>
  <pageMargins left="0.25" right="0.25" top="0.75" bottom="0.75" header="0.3" footer="0.3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Macro6">
                <anchor moveWithCells="1">
                  <from>
                    <xdr:col>3</xdr:col>
                    <xdr:colOff>342900</xdr:colOff>
                    <xdr:row>2</xdr:row>
                    <xdr:rowOff>133350</xdr:rowOff>
                  </from>
                  <to>
                    <xdr:col>4</xdr:col>
                    <xdr:colOff>180975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3"/>
  <sheetViews>
    <sheetView workbookViewId="0">
      <selection activeCell="B5" sqref="B5"/>
    </sheetView>
  </sheetViews>
  <sheetFormatPr defaultColWidth="8.85546875" defaultRowHeight="12.75" x14ac:dyDescent="0.2"/>
  <cols>
    <col min="1" max="1" width="24.140625" style="2" customWidth="1"/>
    <col min="2" max="2" width="8.85546875" style="2" customWidth="1"/>
    <col min="3" max="3" width="22.28515625" style="5" customWidth="1"/>
    <col min="4" max="16384" width="8.85546875" style="2"/>
  </cols>
  <sheetData>
    <row r="1" spans="1:3" x14ac:dyDescent="0.2">
      <c r="A1" s="2" t="s">
        <v>49</v>
      </c>
    </row>
    <row r="3" spans="1:3" x14ac:dyDescent="0.2">
      <c r="A3" s="3" t="s">
        <v>42</v>
      </c>
      <c r="B3" s="4" t="s">
        <v>43</v>
      </c>
    </row>
    <row r="4" spans="1:3" x14ac:dyDescent="0.2">
      <c r="A4" s="2" t="s">
        <v>44</v>
      </c>
      <c r="B4" s="6">
        <v>6.8000000000000005E-2</v>
      </c>
      <c r="C4" s="5" t="str">
        <f>CONCATENATE("Retirement ", B4*100,"%")</f>
        <v>Retirement 6.8%</v>
      </c>
    </row>
    <row r="5" spans="1:3" x14ac:dyDescent="0.2">
      <c r="A5" s="2" t="s">
        <v>45</v>
      </c>
      <c r="B5" s="6">
        <v>6.8000000000000005E-2</v>
      </c>
      <c r="C5" s="5" t="str">
        <f t="shared" ref="C5:C12" si="0">CONCATENATE("Retirement ", B5*100,"%")</f>
        <v>Retirement 6.8%</v>
      </c>
    </row>
    <row r="6" spans="1:3" x14ac:dyDescent="0.2">
      <c r="A6" s="10" t="s">
        <v>59</v>
      </c>
      <c r="B6" s="6">
        <v>1.7999999999999999E-2</v>
      </c>
      <c r="C6" s="5" t="str">
        <f t="shared" si="0"/>
        <v>Retirement 1.8%</v>
      </c>
    </row>
    <row r="7" spans="1:3" x14ac:dyDescent="0.2">
      <c r="A7" s="2" t="s">
        <v>47</v>
      </c>
      <c r="B7" s="6">
        <v>6.8000000000000005E-2</v>
      </c>
      <c r="C7" s="5" t="str">
        <f t="shared" si="0"/>
        <v>Retirement 6.8%</v>
      </c>
    </row>
    <row r="8" spans="1:3" x14ac:dyDescent="0.2">
      <c r="A8" s="2" t="s">
        <v>46</v>
      </c>
      <c r="B8" s="6">
        <v>6.8000000000000005E-2</v>
      </c>
      <c r="C8" s="5" t="str">
        <f t="shared" si="0"/>
        <v>Retirement 6.8%</v>
      </c>
    </row>
    <row r="9" spans="1:3" x14ac:dyDescent="0.2">
      <c r="A9" s="2" t="s">
        <v>38</v>
      </c>
      <c r="B9" s="6">
        <v>6.8000000000000005E-2</v>
      </c>
      <c r="C9" s="5" t="str">
        <f t="shared" si="0"/>
        <v>Retirement 6.8%</v>
      </c>
    </row>
    <row r="10" spans="1:3" x14ac:dyDescent="0.2">
      <c r="A10" s="2" t="s">
        <v>39</v>
      </c>
      <c r="B10" s="6">
        <v>6.8000000000000005E-2</v>
      </c>
      <c r="C10" s="5" t="str">
        <f t="shared" si="0"/>
        <v>Retirement 6.8%</v>
      </c>
    </row>
    <row r="11" spans="1:3" x14ac:dyDescent="0.2">
      <c r="A11" s="2" t="s">
        <v>40</v>
      </c>
      <c r="B11" s="6">
        <v>6.8000000000000005E-2</v>
      </c>
      <c r="C11" s="5" t="str">
        <f t="shared" si="0"/>
        <v>Retirement 6.8%</v>
      </c>
    </row>
    <row r="12" spans="1:3" x14ac:dyDescent="0.2">
      <c r="A12" s="2" t="s">
        <v>41</v>
      </c>
      <c r="B12" s="6">
        <v>6.8000000000000005E-2</v>
      </c>
      <c r="C12" s="5" t="str">
        <f t="shared" si="0"/>
        <v>Retirement 6.8%</v>
      </c>
    </row>
    <row r="13" spans="1:3" x14ac:dyDescent="0.2">
      <c r="A13" s="2" t="s">
        <v>37</v>
      </c>
      <c r="B13" s="7">
        <v>0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5"/>
  <sheetViews>
    <sheetView workbookViewId="0">
      <selection activeCell="F9" sqref="F9"/>
    </sheetView>
  </sheetViews>
  <sheetFormatPr defaultRowHeight="12.75" x14ac:dyDescent="0.2"/>
  <cols>
    <col min="1" max="1" width="20" bestFit="1" customWidth="1"/>
    <col min="2" max="4" width="11.140625" bestFit="1" customWidth="1"/>
    <col min="5" max="5" width="11.5703125" customWidth="1"/>
    <col min="6" max="6" width="11.140625" bestFit="1" customWidth="1"/>
    <col min="7" max="7" width="9" bestFit="1" customWidth="1"/>
    <col min="8" max="8" width="11.28515625" customWidth="1"/>
    <col min="9" max="9" width="11.140625" bestFit="1" customWidth="1"/>
  </cols>
  <sheetData>
    <row r="1" spans="1:9" x14ac:dyDescent="0.2">
      <c r="A1" t="s">
        <v>10</v>
      </c>
      <c r="B1">
        <v>4050</v>
      </c>
      <c r="E1" t="s">
        <v>16</v>
      </c>
      <c r="G1">
        <f>B2-B3*B1</f>
        <v>0</v>
      </c>
    </row>
    <row r="2" spans="1:9" x14ac:dyDescent="0.2">
      <c r="A2" t="s">
        <v>13</v>
      </c>
      <c r="B2">
        <f>26*'Net pay calculator'!B42</f>
        <v>0</v>
      </c>
    </row>
    <row r="3" spans="1:9" x14ac:dyDescent="0.2">
      <c r="A3" t="s">
        <v>15</v>
      </c>
      <c r="B3">
        <f>'Net pay calculator'!B5</f>
        <v>0</v>
      </c>
    </row>
    <row r="4" spans="1:9" x14ac:dyDescent="0.2">
      <c r="A4" t="s">
        <v>11</v>
      </c>
      <c r="B4" s="1">
        <v>2300</v>
      </c>
      <c r="C4" s="1">
        <v>11625</v>
      </c>
      <c r="D4" s="1">
        <v>0</v>
      </c>
      <c r="E4">
        <v>0.1</v>
      </c>
      <c r="F4" s="1">
        <f t="shared" ref="F4:F10" si="0">B4</f>
        <v>2300</v>
      </c>
      <c r="H4" s="1">
        <f t="shared" ref="H4:H9" si="1">IF(AND($G$1&gt;B4,$G$1&lt;=C4),$G$1,0)</f>
        <v>0</v>
      </c>
      <c r="I4" s="1">
        <f t="shared" ref="I4:I10" si="2">IF(H4&gt;0,D4+E4*($G$1-F4),0)</f>
        <v>0</v>
      </c>
    </row>
    <row r="5" spans="1:9" x14ac:dyDescent="0.2">
      <c r="B5" s="1">
        <f t="shared" ref="B5:B10" si="3">C4</f>
        <v>11625</v>
      </c>
      <c r="C5" s="1">
        <v>40250</v>
      </c>
      <c r="D5" s="1">
        <v>932.5</v>
      </c>
      <c r="E5">
        <v>0.15</v>
      </c>
      <c r="F5" s="1">
        <f t="shared" si="0"/>
        <v>11625</v>
      </c>
      <c r="H5" s="1">
        <f t="shared" si="1"/>
        <v>0</v>
      </c>
      <c r="I5" s="1">
        <f t="shared" si="2"/>
        <v>0</v>
      </c>
    </row>
    <row r="6" spans="1:9" x14ac:dyDescent="0.2">
      <c r="B6" s="1">
        <f t="shared" si="3"/>
        <v>40250</v>
      </c>
      <c r="C6" s="1">
        <v>94200</v>
      </c>
      <c r="D6" s="1">
        <v>5226.25</v>
      </c>
      <c r="E6">
        <v>0.25</v>
      </c>
      <c r="F6" s="1">
        <f t="shared" si="0"/>
        <v>40250</v>
      </c>
      <c r="H6" s="1">
        <f t="shared" si="1"/>
        <v>0</v>
      </c>
      <c r="I6" s="1">
        <f t="shared" si="2"/>
        <v>0</v>
      </c>
    </row>
    <row r="7" spans="1:9" x14ac:dyDescent="0.2">
      <c r="B7" s="1">
        <f t="shared" si="3"/>
        <v>94200</v>
      </c>
      <c r="C7" s="1">
        <v>193950</v>
      </c>
      <c r="D7" s="1">
        <v>18713.75</v>
      </c>
      <c r="E7">
        <v>0.28000000000000003</v>
      </c>
      <c r="F7" s="1">
        <f t="shared" si="0"/>
        <v>94200</v>
      </c>
      <c r="H7" s="1">
        <f t="shared" si="1"/>
        <v>0</v>
      </c>
      <c r="I7" s="1">
        <f t="shared" si="2"/>
        <v>0</v>
      </c>
    </row>
    <row r="8" spans="1:9" x14ac:dyDescent="0.2">
      <c r="B8" s="1">
        <f t="shared" si="3"/>
        <v>193950</v>
      </c>
      <c r="C8" s="1">
        <v>419000</v>
      </c>
      <c r="D8" s="1">
        <v>46643.75</v>
      </c>
      <c r="E8">
        <v>0.33</v>
      </c>
      <c r="F8" s="1">
        <f t="shared" si="0"/>
        <v>193950</v>
      </c>
      <c r="H8" s="1">
        <f t="shared" si="1"/>
        <v>0</v>
      </c>
      <c r="I8" s="1">
        <f t="shared" si="2"/>
        <v>0</v>
      </c>
    </row>
    <row r="9" spans="1:9" x14ac:dyDescent="0.2">
      <c r="B9" s="1">
        <f t="shared" si="3"/>
        <v>419000</v>
      </c>
      <c r="C9" s="1">
        <v>420700</v>
      </c>
      <c r="D9" s="1">
        <v>120910.25</v>
      </c>
      <c r="E9">
        <v>0.35</v>
      </c>
      <c r="F9" s="1">
        <f t="shared" si="0"/>
        <v>419000</v>
      </c>
      <c r="H9" s="1">
        <f t="shared" si="1"/>
        <v>0</v>
      </c>
      <c r="I9" s="1">
        <f t="shared" si="2"/>
        <v>0</v>
      </c>
    </row>
    <row r="10" spans="1:9" x14ac:dyDescent="0.2">
      <c r="B10" s="1">
        <f t="shared" si="3"/>
        <v>420700</v>
      </c>
      <c r="C10" s="1"/>
      <c r="D10" s="1">
        <v>121505.25</v>
      </c>
      <c r="E10">
        <v>0.39600000000000002</v>
      </c>
      <c r="F10" s="1">
        <f t="shared" si="0"/>
        <v>420700</v>
      </c>
      <c r="H10" s="1">
        <f>IF($G$1&gt;B10,$G$1,0)</f>
        <v>0</v>
      </c>
      <c r="I10" s="1">
        <f t="shared" si="2"/>
        <v>0</v>
      </c>
    </row>
    <row r="11" spans="1:9" x14ac:dyDescent="0.2">
      <c r="I11" s="1">
        <f>SUM(I4:I10)</f>
        <v>0</v>
      </c>
    </row>
    <row r="14" spans="1:9" x14ac:dyDescent="0.2">
      <c r="A14" t="s">
        <v>12</v>
      </c>
      <c r="B14" s="1">
        <v>8650</v>
      </c>
      <c r="C14" s="1">
        <v>27300</v>
      </c>
      <c r="D14" s="1">
        <v>0</v>
      </c>
      <c r="E14">
        <v>0.1</v>
      </c>
      <c r="F14" s="1">
        <f t="shared" ref="F14:F20" si="4">B14</f>
        <v>8650</v>
      </c>
      <c r="H14" s="1">
        <f t="shared" ref="H14:H19" si="5">IF(AND($G$1&gt;B14,$G$1&lt;=C14),$G$1,0)</f>
        <v>0</v>
      </c>
      <c r="I14" s="1">
        <f t="shared" ref="I14:I20" si="6">IF(H14&gt;0,D14+E14*($G$1-F14),0)</f>
        <v>0</v>
      </c>
    </row>
    <row r="15" spans="1:9" x14ac:dyDescent="0.2">
      <c r="B15" s="1">
        <f t="shared" ref="B15:B20" si="7">C14</f>
        <v>27300</v>
      </c>
      <c r="C15" s="1">
        <v>84550</v>
      </c>
      <c r="D15" s="1">
        <v>1865</v>
      </c>
      <c r="E15">
        <v>0.15</v>
      </c>
      <c r="F15" s="1">
        <f t="shared" si="4"/>
        <v>27300</v>
      </c>
      <c r="H15" s="1">
        <f t="shared" si="5"/>
        <v>0</v>
      </c>
      <c r="I15" s="1">
        <f t="shared" si="6"/>
        <v>0</v>
      </c>
    </row>
    <row r="16" spans="1:9" x14ac:dyDescent="0.2">
      <c r="B16" s="1">
        <f t="shared" si="7"/>
        <v>84550</v>
      </c>
      <c r="C16" s="1">
        <v>161750</v>
      </c>
      <c r="D16" s="1">
        <v>10452.5</v>
      </c>
      <c r="E16">
        <v>0.25</v>
      </c>
      <c r="F16" s="1">
        <f t="shared" si="4"/>
        <v>84550</v>
      </c>
      <c r="H16" s="1">
        <f t="shared" si="5"/>
        <v>0</v>
      </c>
      <c r="I16" s="1">
        <f t="shared" si="6"/>
        <v>0</v>
      </c>
    </row>
    <row r="17" spans="2:9" x14ac:dyDescent="0.2">
      <c r="B17" s="1">
        <f t="shared" si="7"/>
        <v>161750</v>
      </c>
      <c r="C17" s="1">
        <v>242000</v>
      </c>
      <c r="D17" s="1">
        <v>29752.5</v>
      </c>
      <c r="E17">
        <v>0.28000000000000003</v>
      </c>
      <c r="F17" s="1">
        <f t="shared" si="4"/>
        <v>161750</v>
      </c>
      <c r="H17" s="1">
        <f t="shared" si="5"/>
        <v>0</v>
      </c>
      <c r="I17" s="1">
        <f t="shared" si="6"/>
        <v>0</v>
      </c>
    </row>
    <row r="18" spans="2:9" x14ac:dyDescent="0.2">
      <c r="B18" s="1">
        <f t="shared" si="7"/>
        <v>242000</v>
      </c>
      <c r="C18" s="1">
        <v>425350</v>
      </c>
      <c r="D18" s="1">
        <v>52222.5</v>
      </c>
      <c r="E18">
        <v>0.33</v>
      </c>
      <c r="F18" s="1">
        <f t="shared" si="4"/>
        <v>242000</v>
      </c>
      <c r="H18" s="1">
        <f t="shared" si="5"/>
        <v>0</v>
      </c>
      <c r="I18" s="1">
        <f t="shared" si="6"/>
        <v>0</v>
      </c>
    </row>
    <row r="19" spans="2:9" x14ac:dyDescent="0.2">
      <c r="B19" s="1">
        <f t="shared" si="7"/>
        <v>425350</v>
      </c>
      <c r="C19" s="1">
        <v>479350</v>
      </c>
      <c r="D19" s="1">
        <v>112728</v>
      </c>
      <c r="E19">
        <v>0.35</v>
      </c>
      <c r="F19" s="1">
        <f t="shared" si="4"/>
        <v>425350</v>
      </c>
      <c r="H19" s="1">
        <f t="shared" si="5"/>
        <v>0</v>
      </c>
      <c r="I19" s="1">
        <f t="shared" si="6"/>
        <v>0</v>
      </c>
    </row>
    <row r="20" spans="2:9" x14ac:dyDescent="0.2">
      <c r="B20" s="1">
        <f t="shared" si="7"/>
        <v>479350</v>
      </c>
      <c r="C20" s="1"/>
      <c r="D20" s="1">
        <v>131628</v>
      </c>
      <c r="E20">
        <v>0.39600000000000002</v>
      </c>
      <c r="F20" s="1">
        <f t="shared" si="4"/>
        <v>479350</v>
      </c>
      <c r="H20" s="1">
        <f>IF($G$1&gt;B20,$G$1,0)</f>
        <v>0</v>
      </c>
      <c r="I20" s="1">
        <f t="shared" si="6"/>
        <v>0</v>
      </c>
    </row>
    <row r="21" spans="2:9" x14ac:dyDescent="0.2">
      <c r="I21" s="1">
        <f>SUM(I14:I20)</f>
        <v>0</v>
      </c>
    </row>
    <row r="26" spans="2:9" x14ac:dyDescent="0.2">
      <c r="C26" s="1"/>
    </row>
    <row r="29" spans="2:9" x14ac:dyDescent="0.2">
      <c r="B29" s="8"/>
      <c r="C29" s="1"/>
      <c r="D29" s="1"/>
      <c r="E29" s="1"/>
      <c r="F29" s="9"/>
    </row>
    <row r="30" spans="2:9" x14ac:dyDescent="0.2">
      <c r="B30" s="8"/>
      <c r="C30" s="1"/>
      <c r="D30" s="1"/>
      <c r="E30" s="1"/>
      <c r="F30" s="9"/>
    </row>
    <row r="31" spans="2:9" x14ac:dyDescent="0.2">
      <c r="B31" s="8"/>
      <c r="C31" s="1"/>
      <c r="D31" s="1"/>
      <c r="E31" s="1"/>
      <c r="F31" s="9"/>
    </row>
    <row r="32" spans="2:9" x14ac:dyDescent="0.2">
      <c r="B32" s="8"/>
      <c r="C32" s="1"/>
      <c r="D32" s="1"/>
      <c r="E32" s="1"/>
      <c r="F32" s="9"/>
    </row>
    <row r="33" spans="2:6" x14ac:dyDescent="0.2">
      <c r="B33" s="8"/>
      <c r="C33" s="1"/>
      <c r="D33" s="1"/>
      <c r="E33" s="1"/>
      <c r="F33" s="9"/>
    </row>
    <row r="34" spans="2:6" x14ac:dyDescent="0.2">
      <c r="B34" s="8"/>
      <c r="C34" s="1"/>
      <c r="D34" s="1"/>
      <c r="E34" s="1"/>
      <c r="F34" s="9"/>
    </row>
    <row r="35" spans="2:6" x14ac:dyDescent="0.2">
      <c r="B35" s="8"/>
      <c r="C35" s="1"/>
      <c r="D35" s="1"/>
      <c r="E35" s="1"/>
      <c r="F35" s="9"/>
    </row>
    <row r="39" spans="2:6" x14ac:dyDescent="0.2">
      <c r="B39" s="8"/>
      <c r="C39" s="1"/>
      <c r="D39" s="1"/>
      <c r="E39" s="1"/>
      <c r="F39" s="9"/>
    </row>
    <row r="40" spans="2:6" x14ac:dyDescent="0.2">
      <c r="B40" s="8"/>
      <c r="C40" s="1"/>
      <c r="D40" s="1"/>
      <c r="E40" s="1"/>
      <c r="F40" s="9"/>
    </row>
    <row r="41" spans="2:6" x14ac:dyDescent="0.2">
      <c r="B41" s="8"/>
      <c r="C41" s="1"/>
      <c r="D41" s="1"/>
      <c r="E41" s="1"/>
      <c r="F41" s="9"/>
    </row>
    <row r="42" spans="2:6" x14ac:dyDescent="0.2">
      <c r="B42" s="8"/>
      <c r="C42" s="1"/>
      <c r="D42" s="1"/>
      <c r="E42" s="1"/>
      <c r="F42" s="9"/>
    </row>
    <row r="43" spans="2:6" x14ac:dyDescent="0.2">
      <c r="B43" s="8"/>
      <c r="C43" s="1"/>
      <c r="D43" s="1"/>
      <c r="E43" s="1"/>
      <c r="F43" s="9"/>
    </row>
    <row r="44" spans="2:6" x14ac:dyDescent="0.2">
      <c r="B44" s="8"/>
      <c r="C44" s="1"/>
      <c r="D44" s="1"/>
      <c r="E44" s="1"/>
      <c r="F44" s="9"/>
    </row>
    <row r="45" spans="2:6" x14ac:dyDescent="0.2">
      <c r="B45" s="8"/>
      <c r="C45" s="1"/>
      <c r="D45" s="1"/>
      <c r="E45" s="1"/>
      <c r="F45" s="9"/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1"/>
  <sheetViews>
    <sheetView workbookViewId="0">
      <selection activeCell="D15" sqref="D15"/>
    </sheetView>
  </sheetViews>
  <sheetFormatPr defaultRowHeight="12.75" x14ac:dyDescent="0.2"/>
  <cols>
    <col min="1" max="1" width="20.5703125" bestFit="1" customWidth="1"/>
    <col min="2" max="2" width="12" bestFit="1" customWidth="1"/>
    <col min="3" max="4" width="11.140625" bestFit="1" customWidth="1"/>
    <col min="5" max="5" width="18.5703125" bestFit="1" customWidth="1"/>
    <col min="6" max="6" width="11.140625" bestFit="1" customWidth="1"/>
    <col min="7" max="7" width="12" bestFit="1" customWidth="1"/>
    <col min="8" max="8" width="11.140625" bestFit="1" customWidth="1"/>
    <col min="9" max="9" width="10.140625" bestFit="1" customWidth="1"/>
  </cols>
  <sheetData>
    <row r="1" spans="1:9" x14ac:dyDescent="0.2">
      <c r="A1" t="s">
        <v>63</v>
      </c>
      <c r="B1">
        <v>22</v>
      </c>
      <c r="F1" t="s">
        <v>64</v>
      </c>
      <c r="G1">
        <f>B2</f>
        <v>0</v>
      </c>
    </row>
    <row r="2" spans="1:9" x14ac:dyDescent="0.2">
      <c r="A2" t="s">
        <v>62</v>
      </c>
      <c r="B2">
        <f>26*'Net pay calculator'!B40</f>
        <v>0</v>
      </c>
    </row>
    <row r="3" spans="1:9" x14ac:dyDescent="0.2">
      <c r="A3" t="s">
        <v>15</v>
      </c>
      <c r="B3">
        <f>'Net pay calculator'!C5</f>
        <v>0</v>
      </c>
    </row>
    <row r="4" spans="1:9" x14ac:dyDescent="0.2">
      <c r="A4" t="s">
        <v>11</v>
      </c>
      <c r="B4" s="1">
        <v>5730</v>
      </c>
      <c r="C4" s="1">
        <v>15200</v>
      </c>
      <c r="D4" s="1">
        <v>0</v>
      </c>
      <c r="E4">
        <v>0.04</v>
      </c>
      <c r="F4" s="1">
        <f t="shared" ref="F4:F9" si="0">B4</f>
        <v>5730</v>
      </c>
      <c r="H4" s="1">
        <f>IF(AND($G$1&gt;B4,$G$1&lt;=C4),$G$1,0)</f>
        <v>0</v>
      </c>
      <c r="I4" s="1">
        <f>IF(H4&gt;0,D4+E4*($G$1-F4)-B1*B3,0)</f>
        <v>0</v>
      </c>
    </row>
    <row r="5" spans="1:9" x14ac:dyDescent="0.2">
      <c r="B5" s="1">
        <f>C4</f>
        <v>15200</v>
      </c>
      <c r="C5" s="1">
        <v>16486</v>
      </c>
      <c r="D5" s="1">
        <v>378.8</v>
      </c>
      <c r="E5">
        <v>4.48E-2</v>
      </c>
      <c r="F5" s="1">
        <f t="shared" si="0"/>
        <v>15200</v>
      </c>
      <c r="H5" s="1">
        <f>IF(AND($G$1&gt;B5,$G$1&lt;=C5),$G$1,0)</f>
        <v>0</v>
      </c>
      <c r="I5" s="1">
        <f>IF(H5&gt;0,D5+E5*($G$1-F5)-B1*B3,0)</f>
        <v>0</v>
      </c>
    </row>
    <row r="6" spans="1:9" x14ac:dyDescent="0.2">
      <c r="B6" s="1">
        <f>C5</f>
        <v>16486</v>
      </c>
      <c r="C6" s="1">
        <v>26227</v>
      </c>
      <c r="D6" s="1">
        <v>436.41</v>
      </c>
      <c r="E6">
        <v>6.5407999999999994E-2</v>
      </c>
      <c r="F6" s="1">
        <f t="shared" si="0"/>
        <v>16486</v>
      </c>
      <c r="H6" s="1">
        <f>IF(AND($G$1&gt;B6,$G$1&lt;=C6),$G$1,0)</f>
        <v>0</v>
      </c>
      <c r="I6" s="1">
        <f>IF(H6&gt;0,D6+E6*($G$1-F6)-B1*B3,0)</f>
        <v>0</v>
      </c>
    </row>
    <row r="7" spans="1:9" x14ac:dyDescent="0.2">
      <c r="B7" s="1">
        <f>C6</f>
        <v>26227</v>
      </c>
      <c r="C7" s="1">
        <v>62950</v>
      </c>
      <c r="D7" s="1">
        <v>1073.55</v>
      </c>
      <c r="E7">
        <v>7.0223999999999995E-2</v>
      </c>
      <c r="F7" s="1">
        <f t="shared" si="0"/>
        <v>26227</v>
      </c>
      <c r="H7" s="1">
        <f>IF(AND($G$1&gt;B7,$G$1&lt;=C7),$G$1,0)</f>
        <v>0</v>
      </c>
      <c r="I7" s="1">
        <f>IF(H7&gt;0,D7+E7*($G$1-F7)-B1*B3,0)</f>
        <v>0</v>
      </c>
    </row>
    <row r="8" spans="1:9" x14ac:dyDescent="0.2">
      <c r="B8" s="1">
        <f>C7</f>
        <v>62950</v>
      </c>
      <c r="C8" s="1">
        <v>240190</v>
      </c>
      <c r="D8" s="1">
        <v>3652.39</v>
      </c>
      <c r="E8">
        <v>6.2700000000000006E-2</v>
      </c>
      <c r="F8" s="1">
        <f t="shared" si="0"/>
        <v>62950</v>
      </c>
      <c r="H8" s="1">
        <f>IF(AND($G$1&gt;B8,$G$1&lt;=C8),$G$1,0)</f>
        <v>0</v>
      </c>
      <c r="I8" s="1">
        <f>IF(H8&gt;0,D8+E8*($G$1-F8)-B1*B3,0)</f>
        <v>0</v>
      </c>
    </row>
    <row r="9" spans="1:9" x14ac:dyDescent="0.2">
      <c r="B9" s="1">
        <f>C8</f>
        <v>240190</v>
      </c>
      <c r="C9" s="1"/>
      <c r="D9" s="1">
        <v>14765.34</v>
      </c>
      <c r="E9">
        <v>7.6499999999999999E-2</v>
      </c>
      <c r="F9" s="1">
        <f t="shared" si="0"/>
        <v>240190</v>
      </c>
      <c r="H9" s="1">
        <f>IF(G$1&gt;B9,$G$1,0)</f>
        <v>0</v>
      </c>
      <c r="I9" s="1">
        <f>IF(H9&gt;0,D9+E9*($G$1-F9)-B1*B3,0)</f>
        <v>0</v>
      </c>
    </row>
    <row r="10" spans="1:9" x14ac:dyDescent="0.2">
      <c r="B10" s="1"/>
      <c r="C10" s="1"/>
      <c r="D10" s="1"/>
      <c r="F10" s="1"/>
      <c r="H10" s="1"/>
      <c r="I10" s="1"/>
    </row>
    <row r="11" spans="1:9" x14ac:dyDescent="0.2">
      <c r="I11" s="1">
        <f>SUM(I4:I10)</f>
        <v>0</v>
      </c>
    </row>
    <row r="14" spans="1:9" x14ac:dyDescent="0.2">
      <c r="A14" t="s">
        <v>12</v>
      </c>
      <c r="B14" s="1">
        <v>7870</v>
      </c>
      <c r="C14" s="1">
        <v>18780</v>
      </c>
      <c r="D14" s="1">
        <v>0</v>
      </c>
      <c r="E14">
        <v>0.04</v>
      </c>
      <c r="F14" s="1">
        <f t="shared" ref="F14:F19" si="1">B14</f>
        <v>7870</v>
      </c>
      <c r="H14" s="1">
        <f>IF(AND($G$1&gt;B14,$G$1&lt;=C14),$G$1,0)</f>
        <v>0</v>
      </c>
      <c r="I14" s="1">
        <f>IF(H14&gt;0,D14+E14*($G$1-F14)-B1*B3,0)</f>
        <v>0</v>
      </c>
    </row>
    <row r="15" spans="1:9" x14ac:dyDescent="0.2">
      <c r="B15" s="1">
        <f>C14</f>
        <v>18780</v>
      </c>
      <c r="C15" s="1">
        <v>21400</v>
      </c>
      <c r="D15" s="1">
        <v>436.4</v>
      </c>
      <c r="E15">
        <v>5.8400000000000001E-2</v>
      </c>
      <c r="F15" s="1">
        <f t="shared" si="1"/>
        <v>18780</v>
      </c>
      <c r="H15" s="1">
        <f>IF(AND($G$1&gt;B15,$G$1&lt;=C15),$G$1,0)</f>
        <v>0</v>
      </c>
      <c r="I15" s="1">
        <f>IF(H15&gt;0,D15+E15*($G$1-F15)-B1*B3,0)</f>
        <v>0</v>
      </c>
    </row>
    <row r="16" spans="1:9" x14ac:dyDescent="0.2">
      <c r="B16" s="1">
        <f>C15</f>
        <v>21400</v>
      </c>
      <c r="C16" s="1">
        <v>28308</v>
      </c>
      <c r="D16" s="1">
        <v>589.41</v>
      </c>
      <c r="E16">
        <v>7.0080000000000003E-2</v>
      </c>
      <c r="F16" s="1">
        <f t="shared" si="1"/>
        <v>21400</v>
      </c>
      <c r="H16" s="1">
        <f>IF(AND($G$1&gt;B16,$G$1&lt;=C16),$G$1,0)</f>
        <v>0</v>
      </c>
      <c r="I16" s="1">
        <f>IF(H16&gt;0,D16+E16*($G$1-F16)-B1*B3,0)</f>
        <v>0</v>
      </c>
    </row>
    <row r="17" spans="2:9" x14ac:dyDescent="0.2">
      <c r="B17" s="1">
        <f>C16</f>
        <v>28308</v>
      </c>
      <c r="C17" s="1">
        <v>60750</v>
      </c>
      <c r="D17" s="1">
        <v>1073.52</v>
      </c>
      <c r="E17">
        <v>7.5240000000000001E-2</v>
      </c>
      <c r="F17" s="1">
        <f t="shared" si="1"/>
        <v>28308</v>
      </c>
      <c r="H17" s="1">
        <f>IF(AND($G$1&gt;B17,$G$1&lt;=C17),$G$1,0)</f>
        <v>0</v>
      </c>
      <c r="I17" s="1">
        <f>IF(H17&gt;0,D17+E17*($G$1-F17)-B1*B3,0)</f>
        <v>0</v>
      </c>
    </row>
    <row r="18" spans="2:9" x14ac:dyDescent="0.2">
      <c r="B18" s="1">
        <f>C17</f>
        <v>60750</v>
      </c>
      <c r="C18" s="1">
        <v>240190</v>
      </c>
      <c r="D18" s="1">
        <v>3514.46</v>
      </c>
      <c r="E18">
        <v>6.2700000000000006E-2</v>
      </c>
      <c r="F18" s="1">
        <f t="shared" si="1"/>
        <v>60750</v>
      </c>
      <c r="H18" s="1">
        <f>IF(AND($G$1&gt;B18,$G$1&lt;=C18),$G$1,0)</f>
        <v>0</v>
      </c>
      <c r="I18" s="1">
        <f>IF(H18&gt;0,D18+E18*($G$1-F18)-B1*B3,0)</f>
        <v>0</v>
      </c>
    </row>
    <row r="19" spans="2:9" x14ac:dyDescent="0.2">
      <c r="B19" s="1">
        <f>C18</f>
        <v>240190</v>
      </c>
      <c r="C19" s="1"/>
      <c r="D19" s="1">
        <v>14765.35</v>
      </c>
      <c r="E19">
        <v>7.6499999999999999E-2</v>
      </c>
      <c r="F19" s="1">
        <f t="shared" si="1"/>
        <v>240190</v>
      </c>
      <c r="H19" s="1">
        <f>IF($G$1&gt;B19,$G$1,0)</f>
        <v>0</v>
      </c>
      <c r="I19" s="1">
        <f>IF(H19&gt;0,D19+E19*($G$1-F19)-B1*B3,0)</f>
        <v>0</v>
      </c>
    </row>
    <row r="20" spans="2:9" x14ac:dyDescent="0.2">
      <c r="B20" s="1"/>
      <c r="C20" s="1"/>
      <c r="D20" s="1"/>
      <c r="F20" s="1"/>
      <c r="H20" s="1"/>
      <c r="I20" s="1"/>
    </row>
    <row r="21" spans="2:9" x14ac:dyDescent="0.2">
      <c r="I21" s="1">
        <f>SUM(I14:I20)</f>
        <v>0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>Central Benefits &amp; Payroll</Bureau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8F89DE-D44E-4656-8FF9-8A8202362E8E}"/>
</file>

<file path=customXml/itemProps2.xml><?xml version="1.0" encoding="utf-8"?>
<ds:datastoreItem xmlns:ds="http://schemas.openxmlformats.org/officeDocument/2006/customXml" ds:itemID="{8DD5F8B0-4CB5-4CF7-85DB-1BD8990266C0}"/>
</file>

<file path=customXml/itemProps3.xml><?xml version="1.0" encoding="utf-8"?>
<ds:datastoreItem xmlns:ds="http://schemas.openxmlformats.org/officeDocument/2006/customXml" ds:itemID="{9714A881-C834-4EB9-BD33-0447BC82A6AD}"/>
</file>

<file path=customXml/itemProps4.xml><?xml version="1.0" encoding="utf-8"?>
<ds:datastoreItem xmlns:ds="http://schemas.openxmlformats.org/officeDocument/2006/customXml" ds:itemID="{960E669F-0B00-4C9C-8B48-68A5D47A6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Net pay calculator</vt:lpstr>
      <vt:lpstr>WRS EE share rates</vt:lpstr>
      <vt:lpstr>Fed tax calculations</vt:lpstr>
      <vt:lpstr>State tax calculations</vt:lpstr>
      <vt:lpstr>DOT_Prot_before_July_1_2011</vt:lpstr>
      <vt:lpstr>Type</vt:lpstr>
    </vt:vector>
  </TitlesOfParts>
  <Company>Wisconsin 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Paycheck Calculator 2017</dc:title>
  <dc:creator>Dennis Dissmore</dc:creator>
  <cp:lastModifiedBy>Olsen, Matt - DOA</cp:lastModifiedBy>
  <cp:lastPrinted>2014-03-21T12:55:44Z</cp:lastPrinted>
  <dcterms:created xsi:type="dcterms:W3CDTF">2007-03-14T14:24:15Z</dcterms:created>
  <dcterms:modified xsi:type="dcterms:W3CDTF">2017-11-09T17:42:31Z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